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erjber\Dropbox\Bøker\Grunnleggende økonomistyring\Materiell hjemmesiden\"/>
    </mc:Choice>
  </mc:AlternateContent>
  <xr:revisionPtr revIDLastSave="0" documentId="13_ncr:1_{61267D23-16AF-4051-B690-74A972F24FE7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Innhold" sheetId="8" r:id="rId1"/>
    <sheet name="Ressursgrupper til avdelinger" sheetId="1" r:id="rId2"/>
    <sheet name="Direkte fordeling" sheetId="2" r:id="rId3"/>
    <sheet name="Trinnvis fordeling" sheetId="3" r:id="rId4"/>
    <sheet name="Gjensidig fordeling" sheetId="4" r:id="rId5"/>
    <sheet name="Divisjonskalkulasjon" sheetId="5" r:id="rId6"/>
    <sheet name="Ekvivalenskalkulasjon" sheetId="6" r:id="rId7"/>
    <sheet name="Tilleggskalkulasjon" sheetId="7" r:id="rId8"/>
  </sheets>
  <definedNames>
    <definedName name="solver_cvg" localSheetId="4" hidden="1">0.0001</definedName>
    <definedName name="solver_drv" localSheetId="4" hidden="1">1</definedName>
    <definedName name="solver_eng" localSheetId="4" hidden="1">2</definedName>
    <definedName name="solver_est" localSheetId="4" hidden="1">1</definedName>
    <definedName name="solver_itr" localSheetId="4" hidden="1">2147483647</definedName>
    <definedName name="solver_lhs1" localSheetId="4" hidden="1">'Gjensidig fordeling'!#REF!</definedName>
    <definedName name="solver_lhs2" localSheetId="4" hidden="1">'Gjensidig fordeling'!#REF!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pre" localSheetId="4" hidden="1">0.000001</definedName>
    <definedName name="solver_rbv" localSheetId="4" hidden="1">1</definedName>
    <definedName name="solver_rel1" localSheetId="4" hidden="1">2</definedName>
    <definedName name="solver_rel2" localSheetId="4" hidden="1">2</definedName>
    <definedName name="solver_rhs1" localSheetId="4" hidden="1">140</definedName>
    <definedName name="solver_rhs2" localSheetId="4" hidden="1">130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1</definedName>
    <definedName name="solver_val" localSheetId="4" hidden="1">0</definedName>
    <definedName name="solver_ver" localSheetId="4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4" l="1"/>
  <c r="S6" i="4"/>
  <c r="T7" i="4"/>
  <c r="S7" i="4"/>
  <c r="U3" i="4"/>
  <c r="U2" i="4"/>
  <c r="L7" i="4"/>
  <c r="J7" i="4"/>
  <c r="H7" i="4"/>
  <c r="F7" i="4"/>
  <c r="D7" i="4"/>
  <c r="U7" i="4" l="1"/>
  <c r="U6" i="4"/>
  <c r="D8" i="4"/>
  <c r="H8" i="4"/>
  <c r="H9" i="4" l="1"/>
  <c r="H16" i="4" s="1"/>
  <c r="H11" i="4"/>
  <c r="H13" i="4" l="1"/>
  <c r="Q10" i="4"/>
  <c r="H15" i="4"/>
  <c r="R10" i="4" s="1"/>
  <c r="R13" i="4" s="1"/>
  <c r="Q12" i="4" l="1"/>
  <c r="U10" i="4"/>
  <c r="S12" i="4"/>
  <c r="Q20" i="4" s="1"/>
  <c r="T12" i="4"/>
  <c r="T20" i="4" s="1"/>
  <c r="T13" i="4"/>
  <c r="U20" i="4" s="1"/>
  <c r="V20" i="4" l="1"/>
  <c r="U12" i="4"/>
  <c r="T14" i="4"/>
  <c r="S13" i="4"/>
  <c r="S14" i="4"/>
  <c r="U13" i="4" l="1"/>
  <c r="R20" i="4"/>
  <c r="S20" i="4" s="1"/>
  <c r="U14" i="4"/>
  <c r="E7" i="3"/>
  <c r="D7" i="3"/>
  <c r="E6" i="3"/>
  <c r="E12" i="3" s="1"/>
  <c r="T19" i="4" s="1"/>
  <c r="D6" i="3"/>
  <c r="D12" i="3" s="1"/>
  <c r="Q19" i="4" s="1"/>
  <c r="C6" i="3"/>
  <c r="C12" i="3" s="1"/>
  <c r="F10" i="3"/>
  <c r="F3" i="3"/>
  <c r="F2" i="3"/>
  <c r="B13" i="1"/>
  <c r="B12" i="1"/>
  <c r="B11" i="1"/>
  <c r="B10" i="1"/>
  <c r="F12" i="3" l="1"/>
  <c r="C13" i="3"/>
  <c r="F7" i="3"/>
  <c r="F6" i="3"/>
  <c r="B17" i="7"/>
  <c r="D17" i="7"/>
  <c r="C17" i="7"/>
  <c r="D15" i="7"/>
  <c r="C14" i="7"/>
  <c r="E7" i="2"/>
  <c r="D7" i="2"/>
  <c r="F7" i="2" s="1"/>
  <c r="E6" i="2"/>
  <c r="D6" i="2"/>
  <c r="D12" i="2" s="1"/>
  <c r="Q18" i="4" s="1"/>
  <c r="F3" i="2"/>
  <c r="F2" i="2"/>
  <c r="D6" i="6"/>
  <c r="D5" i="6"/>
  <c r="D4" i="6"/>
  <c r="D7" i="6" s="1"/>
  <c r="G7" i="6" s="1"/>
  <c r="B7" i="6"/>
  <c r="F4" i="6"/>
  <c r="G4" i="6" s="1"/>
  <c r="E6" i="6"/>
  <c r="F6" i="6" s="1"/>
  <c r="G6" i="6" s="1"/>
  <c r="E5" i="6"/>
  <c r="F5" i="6" s="1"/>
  <c r="G5" i="6" s="1"/>
  <c r="D13" i="3" l="1"/>
  <c r="E13" i="3"/>
  <c r="U19" i="4" s="1"/>
  <c r="V19" i="4" s="1"/>
  <c r="E13" i="2"/>
  <c r="U18" i="4" s="1"/>
  <c r="E12" i="2"/>
  <c r="F6" i="2"/>
  <c r="F10" i="2"/>
  <c r="D13" i="2"/>
  <c r="F7" i="6"/>
  <c r="B13" i="6" s="1"/>
  <c r="C13" i="6" s="1"/>
  <c r="F13" i="2" l="1"/>
  <c r="R18" i="4"/>
  <c r="S18" i="4" s="1"/>
  <c r="F12" i="2"/>
  <c r="T18" i="4"/>
  <c r="V18" i="4" s="1"/>
  <c r="D14" i="3"/>
  <c r="R19" i="4"/>
  <c r="S19" i="4" s="1"/>
  <c r="F13" i="3"/>
  <c r="E14" i="3"/>
  <c r="F14" i="3" s="1"/>
  <c r="E14" i="2"/>
  <c r="D14" i="2"/>
  <c r="F14" i="2" s="1"/>
  <c r="B12" i="6"/>
  <c r="C12" i="6" s="1"/>
  <c r="B11" i="6"/>
  <c r="C11" i="6" s="1"/>
  <c r="C14" i="6" l="1"/>
  <c r="D18" i="7"/>
  <c r="B29" i="7" s="1"/>
  <c r="C18" i="7"/>
  <c r="B28" i="7" s="1"/>
  <c r="B18" i="7"/>
  <c r="B23" i="7"/>
  <c r="B22" i="7"/>
  <c r="B9" i="7"/>
  <c r="B8" i="7"/>
  <c r="B3" i="5"/>
  <c r="F9" i="1"/>
  <c r="F15" i="1" s="1"/>
  <c r="F21" i="1" s="1"/>
  <c r="E9" i="1"/>
  <c r="E15" i="1" s="1"/>
  <c r="E21" i="1" s="1"/>
  <c r="D9" i="1"/>
  <c r="D15" i="1" s="1"/>
  <c r="D21" i="1" s="1"/>
  <c r="C9" i="1"/>
  <c r="C15" i="1" s="1"/>
  <c r="C21" i="1" s="1"/>
  <c r="B25" i="7" l="1"/>
  <c r="B30" i="7"/>
  <c r="B24" i="7"/>
  <c r="B10" i="7"/>
  <c r="C18" i="1"/>
  <c r="C19" i="1"/>
  <c r="C17" i="1"/>
  <c r="C16" i="1"/>
  <c r="B7" i="1"/>
  <c r="D19" i="1" l="1"/>
  <c r="D25" i="1" s="1"/>
  <c r="D16" i="1"/>
  <c r="D22" i="1" s="1"/>
  <c r="D18" i="1"/>
  <c r="D24" i="1" s="1"/>
  <c r="C22" i="1"/>
  <c r="C23" i="1"/>
  <c r="C25" i="1"/>
  <c r="C24" i="1"/>
  <c r="E16" i="1"/>
  <c r="E22" i="1" s="1"/>
  <c r="E17" i="1"/>
  <c r="E23" i="1" s="1"/>
  <c r="E18" i="1"/>
  <c r="E24" i="1" s="1"/>
  <c r="E19" i="1"/>
  <c r="E25" i="1" s="1"/>
  <c r="F16" i="1"/>
  <c r="F22" i="1" s="1"/>
  <c r="F17" i="1"/>
  <c r="F23" i="1" s="1"/>
  <c r="F18" i="1"/>
  <c r="F24" i="1" s="1"/>
  <c r="F19" i="1"/>
  <c r="F25" i="1" s="1"/>
  <c r="D17" i="1"/>
  <c r="D23" i="1" s="1"/>
  <c r="B24" i="1" l="1"/>
  <c r="B23" i="1"/>
  <c r="B25" i="1"/>
  <c r="B22" i="1"/>
  <c r="D26" i="1"/>
  <c r="B18" i="1"/>
  <c r="B17" i="1"/>
  <c r="F26" i="1"/>
  <c r="E26" i="1"/>
  <c r="B19" i="1"/>
  <c r="C26" i="1"/>
  <c r="B16" i="1"/>
  <c r="B26" i="1" l="1"/>
</calcChain>
</file>

<file path=xl/sharedStrings.xml><?xml version="1.0" encoding="utf-8"?>
<sst xmlns="http://schemas.openxmlformats.org/spreadsheetml/2006/main" count="242" uniqueCount="92">
  <si>
    <t>Beløp (kr)</t>
  </si>
  <si>
    <t>Lønn</t>
  </si>
  <si>
    <t>x</t>
  </si>
  <si>
    <t>Husleie</t>
  </si>
  <si>
    <t>Strøm</t>
  </si>
  <si>
    <t>Kapitalkostnader</t>
  </si>
  <si>
    <t>Sum</t>
  </si>
  <si>
    <t>Antall årsverk</t>
  </si>
  <si>
    <t>KwH</t>
  </si>
  <si>
    <t>Bokført verdi</t>
  </si>
  <si>
    <t>Støtte 1</t>
  </si>
  <si>
    <t>Støtte 2</t>
  </si>
  <si>
    <t>Produksjon 1</t>
  </si>
  <si>
    <t>Produksjon 2</t>
  </si>
  <si>
    <t>1)</t>
  </si>
  <si>
    <t>2)</t>
  </si>
  <si>
    <t>3)</t>
  </si>
  <si>
    <t>4)</t>
  </si>
  <si>
    <t>5)</t>
  </si>
  <si>
    <t>6)</t>
  </si>
  <si>
    <t>7)</t>
  </si>
  <si>
    <t>Fordeling fra ressursgrupper til avdelinger</t>
  </si>
  <si>
    <t>Direkte fordeling fra støtte- til produksjonsavdelinger</t>
  </si>
  <si>
    <t>Trinnvis fordeling fra støtte- til produksjonsavdelinger</t>
  </si>
  <si>
    <t>Gjensidig fordeling fra støtte- til produksjonsavdelinger</t>
  </si>
  <si>
    <t>Divisjonskalkulasjon til produkter</t>
  </si>
  <si>
    <t>Ekvivalenskalkulasjon til produkter</t>
  </si>
  <si>
    <t>Tilleggskalkulasjon til produkter</t>
  </si>
  <si>
    <t>Fordeling fra ressursgrupper til avdelinger (kostnadssteder):</t>
  </si>
  <si>
    <r>
      <t>Antall m</t>
    </r>
    <r>
      <rPr>
        <vertAlign val="superscript"/>
        <sz val="11"/>
        <color theme="1"/>
        <rFont val="Garamond"/>
        <family val="1"/>
      </rPr>
      <t>2</t>
    </r>
  </si>
  <si>
    <t>Totale indirekte kostnader:</t>
  </si>
  <si>
    <t>Total produksjon:</t>
  </si>
  <si>
    <t>Andel indirekte kostnader per produktenhet:</t>
  </si>
  <si>
    <t>Direkte material</t>
  </si>
  <si>
    <t>Direkte lønn</t>
  </si>
  <si>
    <t>Indirekte kostnader</t>
  </si>
  <si>
    <t>Indirekte variable kostnader</t>
  </si>
  <si>
    <t>Fordelingsgrunnlag</t>
  </si>
  <si>
    <t>Salg- og administrasjon</t>
  </si>
  <si>
    <t>Variable tilvirkningskostnader</t>
  </si>
  <si>
    <t>Tilleggssatser indirekte variable kostnader:</t>
  </si>
  <si>
    <t>Produksjon 1:</t>
  </si>
  <si>
    <t>Produksjon 2:</t>
  </si>
  <si>
    <t>Salg- og administrasjon:</t>
  </si>
  <si>
    <t>Tilvirkningskostnader</t>
  </si>
  <si>
    <t>Tilleggssatser indirekte faste kostnader:</t>
  </si>
  <si>
    <t>Indirekte faste kostnader</t>
  </si>
  <si>
    <t>Tilleggssatser indirekte kostnader:</t>
  </si>
  <si>
    <t>Variable salg- og administrasjon:</t>
  </si>
  <si>
    <t>Som stemmer med summen av satsen for variable og faste kostnader</t>
  </si>
  <si>
    <t>Produkt:</t>
  </si>
  <si>
    <t>A</t>
  </si>
  <si>
    <t>B</t>
  </si>
  <si>
    <t>C</t>
  </si>
  <si>
    <t>Medgått tid</t>
  </si>
  <si>
    <t>Produksjon i enheter</t>
  </si>
  <si>
    <t>Forholdstall</t>
  </si>
  <si>
    <t>Ekvivalensmengde</t>
  </si>
  <si>
    <t>Ekvivalent tid</t>
  </si>
  <si>
    <t>Totalt:</t>
  </si>
  <si>
    <t>Fordelte kostnader:</t>
  </si>
  <si>
    <t>Tilleggssats</t>
  </si>
  <si>
    <t>Totalt fordelt</t>
  </si>
  <si>
    <t>Ressursbruk av støttetjenester:</t>
  </si>
  <si>
    <t>Støtte 2:</t>
  </si>
  <si>
    <t>Støtte 1:</t>
  </si>
  <si>
    <t>Justert for utveksling mellom Støtte 1 og 2:</t>
  </si>
  <si>
    <t>Kostnader før fordeling:</t>
  </si>
  <si>
    <t>Fordelte kostnader fra Støtte 1:</t>
  </si>
  <si>
    <t>Fordelte kostnader fra Støtte 2:</t>
  </si>
  <si>
    <t>Kostnader etter direkte fordeling:</t>
  </si>
  <si>
    <t>Støtte 1 (leverer til):</t>
  </si>
  <si>
    <t>Støtte 2 (leverer til):</t>
  </si>
  <si>
    <t>Første valg: Hvilken av de to støtteavdelingenes kostnader skal fordeles til den andre?</t>
  </si>
  <si>
    <t>Ligningssett:</t>
  </si>
  <si>
    <t>=</t>
  </si>
  <si>
    <t>+</t>
  </si>
  <si>
    <t>´</t>
  </si>
  <si>
    <t>-</t>
  </si>
  <si>
    <t>Sum:</t>
  </si>
  <si>
    <t>Trinn 1: Løs ligningene ved innsettingsmetoden, ev. ved Problemløseren i Excel.</t>
  </si>
  <si>
    <t>Trinn 2: Fordel kostnadene til produksjonsavdelingene.</t>
  </si>
  <si>
    <t>Gjensidig tjenesteutveksling:</t>
  </si>
  <si>
    <t>Direkte metode</t>
  </si>
  <si>
    <t>Trinnvis fordeling</t>
  </si>
  <si>
    <t>Gjensidig metode</t>
  </si>
  <si>
    <t>Fra Støtte 1</t>
  </si>
  <si>
    <t>Fra Støtte 2</t>
  </si>
  <si>
    <t>Sammenligning metoder:</t>
  </si>
  <si>
    <t>For Excel, se for eksempel her:</t>
  </si>
  <si>
    <t xml:space="preserve">https://www.youtube.com/watch?v=CXR3KaNPfEY </t>
  </si>
  <si>
    <t>Prinsipper for valg: 1) Største indirekte kostnader i kroner, 2) største prosentvise andel den andre støtteavdelingen benytter, 3) største kronebløp den andre støtteavdelingen benytter.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</si>
</sst>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&quot;kr&quot;\ * #,##0_-;\-&quot;kr&quot;\ * #,##0_-;_-&quot;kr&quot;\ * &quot;-&quot;??_-;_-@_-"/>
    <numFmt numFmtId="167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Garamond"/>
      <family val="1"/>
    </font>
    <font>
      <vertAlign val="superscript"/>
      <sz val="11"/>
      <color theme="1"/>
      <name val="Garamond"/>
      <family val="1"/>
    </font>
    <font>
      <sz val="11"/>
      <name val="Garamond"/>
      <family val="1"/>
    </font>
    <font>
      <sz val="11"/>
      <color rgb="FF0000FF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i/>
      <sz val="11"/>
      <color rgb="FF0000FF"/>
      <name val="Garamond"/>
      <family val="1"/>
    </font>
    <font>
      <u/>
      <sz val="11"/>
      <color theme="10"/>
      <name val="Garamond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1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3" fillId="0" borderId="8" xfId="1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9" fontId="3" fillId="0" borderId="8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5" fillId="0" borderId="0" xfId="0" applyFont="1" applyAlignment="1"/>
    <xf numFmtId="164" fontId="8" fillId="0" borderId="1" xfId="1" applyNumberFormat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/>
    <xf numFmtId="10" fontId="3" fillId="0" borderId="0" xfId="2" applyNumberFormat="1" applyFont="1" applyAlignment="1"/>
    <xf numFmtId="0" fontId="9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0" fontId="5" fillId="0" borderId="0" xfId="2" applyNumberFormat="1" applyFont="1" applyAlignment="1"/>
    <xf numFmtId="166" fontId="9" fillId="0" borderId="1" xfId="0" applyNumberFormat="1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0" fontId="3" fillId="0" borderId="11" xfId="0" applyFont="1" applyBorder="1"/>
    <xf numFmtId="42" fontId="8" fillId="0" borderId="12" xfId="1" applyNumberFormat="1" applyFont="1" applyBorder="1"/>
    <xf numFmtId="0" fontId="3" fillId="0" borderId="0" xfId="0" applyFont="1" applyBorder="1"/>
    <xf numFmtId="0" fontId="3" fillId="0" borderId="10" xfId="0" applyFont="1" applyBorder="1"/>
    <xf numFmtId="42" fontId="8" fillId="0" borderId="13" xfId="1" applyNumberFormat="1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164" fontId="8" fillId="0" borderId="1" xfId="1" applyNumberFormat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4" fontId="3" fillId="0" borderId="1" xfId="1" applyNumberFormat="1" applyFont="1" applyBorder="1"/>
    <xf numFmtId="164" fontId="3" fillId="0" borderId="6" xfId="1" applyNumberFormat="1" applyFont="1" applyBorder="1"/>
    <xf numFmtId="43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164" fontId="8" fillId="0" borderId="8" xfId="1" applyNumberFormat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8" xfId="1" applyNumberFormat="1" applyFont="1" applyBorder="1"/>
    <xf numFmtId="164" fontId="3" fillId="0" borderId="9" xfId="1" applyNumberFormat="1" applyFont="1" applyBorder="1"/>
    <xf numFmtId="0" fontId="3" fillId="0" borderId="14" xfId="0" applyFont="1" applyBorder="1"/>
    <xf numFmtId="164" fontId="3" fillId="0" borderId="15" xfId="0" applyNumberFormat="1" applyFont="1" applyBorder="1"/>
    <xf numFmtId="0" fontId="2" fillId="0" borderId="15" xfId="0" applyFont="1" applyBorder="1" applyAlignment="1">
      <alignment horizontal="right"/>
    </xf>
    <xf numFmtId="0" fontId="3" fillId="0" borderId="15" xfId="0" applyFont="1" applyBorder="1"/>
    <xf numFmtId="164" fontId="3" fillId="0" borderId="16" xfId="0" applyNumberFormat="1" applyFont="1" applyBorder="1"/>
    <xf numFmtId="0" fontId="2" fillId="0" borderId="4" xfId="0" applyFont="1" applyBorder="1" applyAlignment="1">
      <alignment horizontal="center"/>
    </xf>
    <xf numFmtId="44" fontId="3" fillId="0" borderId="1" xfId="1" applyNumberFormat="1" applyFont="1" applyBorder="1"/>
    <xf numFmtId="166" fontId="3" fillId="0" borderId="6" xfId="0" applyNumberFormat="1" applyFont="1" applyBorder="1"/>
    <xf numFmtId="44" fontId="3" fillId="0" borderId="8" xfId="1" applyNumberFormat="1" applyFont="1" applyBorder="1"/>
    <xf numFmtId="166" fontId="3" fillId="0" borderId="9" xfId="0" applyNumberFormat="1" applyFont="1" applyBorder="1"/>
    <xf numFmtId="166" fontId="2" fillId="0" borderId="16" xfId="0" applyNumberFormat="1" applyFont="1" applyBorder="1"/>
    <xf numFmtId="0" fontId="3" fillId="0" borderId="2" xfId="0" applyFont="1" applyBorder="1"/>
    <xf numFmtId="42" fontId="8" fillId="0" borderId="4" xfId="1" applyNumberFormat="1" applyFont="1" applyBorder="1"/>
    <xf numFmtId="164" fontId="8" fillId="0" borderId="6" xfId="1" applyNumberFormat="1" applyFont="1" applyBorder="1"/>
    <xf numFmtId="42" fontId="3" fillId="0" borderId="9" xfId="1" applyNumberFormat="1" applyFont="1" applyBorder="1"/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3" fillId="0" borderId="5" xfId="0" applyFont="1" applyBorder="1" applyAlignment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/>
    <xf numFmtId="0" fontId="2" fillId="0" borderId="5" xfId="0" applyFont="1" applyBorder="1" applyAlignment="1"/>
    <xf numFmtId="9" fontId="3" fillId="0" borderId="6" xfId="2" applyFont="1" applyBorder="1" applyAlignment="1">
      <alignment horizontal="center"/>
    </xf>
    <xf numFmtId="0" fontId="2" fillId="0" borderId="7" xfId="0" applyFont="1" applyBorder="1" applyAlignment="1"/>
    <xf numFmtId="166" fontId="8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/>
    <xf numFmtId="166" fontId="3" fillId="0" borderId="6" xfId="0" applyNumberFormat="1" applyFont="1" applyBorder="1" applyAlignment="1"/>
    <xf numFmtId="0" fontId="5" fillId="0" borderId="5" xfId="0" applyFont="1" applyBorder="1" applyAlignment="1"/>
    <xf numFmtId="0" fontId="2" fillId="0" borderId="8" xfId="0" applyFont="1" applyBorder="1" applyAlignment="1"/>
    <xf numFmtId="166" fontId="2" fillId="0" borderId="8" xfId="0" applyNumberFormat="1" applyFont="1" applyBorder="1" applyAlignment="1"/>
    <xf numFmtId="166" fontId="2" fillId="0" borderId="9" xfId="0" applyNumberFormat="1" applyFont="1" applyBorder="1" applyAlignment="1"/>
    <xf numFmtId="9" fontId="7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4" xfId="3" applyFont="1" applyBorder="1"/>
    <xf numFmtId="0" fontId="12" fillId="0" borderId="6" xfId="3" applyFont="1" applyBorder="1"/>
    <xf numFmtId="0" fontId="12" fillId="0" borderId="9" xfId="3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1" xfId="0" applyNumberFormat="1" applyFont="1" applyBorder="1"/>
    <xf numFmtId="166" fontId="3" fillId="0" borderId="8" xfId="0" applyNumberFormat="1" applyFont="1" applyBorder="1"/>
    <xf numFmtId="43" fontId="3" fillId="0" borderId="0" xfId="1" applyFont="1"/>
    <xf numFmtId="164" fontId="3" fillId="0" borderId="0" xfId="1" applyNumberFormat="1" applyFont="1"/>
    <xf numFmtId="10" fontId="3" fillId="0" borderId="0" xfId="0" applyNumberFormat="1" applyFont="1"/>
    <xf numFmtId="164" fontId="3" fillId="0" borderId="0" xfId="0" applyNumberFormat="1" applyFont="1"/>
    <xf numFmtId="167" fontId="3" fillId="0" borderId="0" xfId="1" applyNumberFormat="1" applyFont="1"/>
    <xf numFmtId="164" fontId="8" fillId="0" borderId="0" xfId="1" applyNumberFormat="1" applyFont="1"/>
    <xf numFmtId="9" fontId="8" fillId="0" borderId="0" xfId="0" applyNumberFormat="1" applyFont="1"/>
    <xf numFmtId="9" fontId="7" fillId="0" borderId="1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3" fillId="0" borderId="5" xfId="0" applyNumberFormat="1" applyFont="1" applyBorder="1" applyAlignment="1"/>
    <xf numFmtId="166" fontId="2" fillId="0" borderId="7" xfId="0" applyNumberFormat="1" applyFont="1" applyBorder="1" applyAlignment="1"/>
    <xf numFmtId="0" fontId="3" fillId="0" borderId="2" xfId="0" applyFont="1" applyBorder="1" applyAlignment="1"/>
    <xf numFmtId="9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0" fontId="2" fillId="0" borderId="9" xfId="0" applyFont="1" applyBorder="1" applyAlignment="1"/>
    <xf numFmtId="9" fontId="7" fillId="0" borderId="5" xfId="2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12" fillId="0" borderId="0" xfId="3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CXR3KaNPfEY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showGridLines="0" tabSelected="1" workbookViewId="0"/>
  </sheetViews>
  <sheetFormatPr defaultColWidth="11.42578125" defaultRowHeight="15" x14ac:dyDescent="0.25"/>
  <cols>
    <col min="1" max="1" width="2.7109375" style="105" bestFit="1" customWidth="1"/>
    <col min="2" max="2" width="47.28515625" style="27" bestFit="1" customWidth="1"/>
    <col min="3" max="16384" width="11.42578125" style="27"/>
  </cols>
  <sheetData>
    <row r="1" spans="1:2" x14ac:dyDescent="0.25">
      <c r="A1" s="130" t="s">
        <v>14</v>
      </c>
      <c r="B1" s="99" t="s">
        <v>21</v>
      </c>
    </row>
    <row r="2" spans="1:2" x14ac:dyDescent="0.25">
      <c r="A2" s="131" t="s">
        <v>15</v>
      </c>
      <c r="B2" s="100" t="s">
        <v>22</v>
      </c>
    </row>
    <row r="3" spans="1:2" x14ac:dyDescent="0.25">
      <c r="A3" s="131" t="s">
        <v>16</v>
      </c>
      <c r="B3" s="100" t="s">
        <v>23</v>
      </c>
    </row>
    <row r="4" spans="1:2" x14ac:dyDescent="0.25">
      <c r="A4" s="131" t="s">
        <v>17</v>
      </c>
      <c r="B4" s="100" t="s">
        <v>24</v>
      </c>
    </row>
    <row r="5" spans="1:2" x14ac:dyDescent="0.25">
      <c r="A5" s="131" t="s">
        <v>18</v>
      </c>
      <c r="B5" s="100" t="s">
        <v>25</v>
      </c>
    </row>
    <row r="6" spans="1:2" x14ac:dyDescent="0.25">
      <c r="A6" s="131" t="s">
        <v>19</v>
      </c>
      <c r="B6" s="100" t="s">
        <v>26</v>
      </c>
    </row>
    <row r="7" spans="1:2" ht="15.75" thickBot="1" x14ac:dyDescent="0.3">
      <c r="A7" s="132" t="s">
        <v>20</v>
      </c>
      <c r="B7" s="101" t="s">
        <v>27</v>
      </c>
    </row>
  </sheetData>
  <hyperlinks>
    <hyperlink ref="B1" location="'Ressursgrupper til avdelinger'!A1" display="Fordeling fra ressursgrupper til avdelinger" xr:uid="{00000000-0004-0000-0000-000000000000}"/>
    <hyperlink ref="B2" location="'Direkte fordeling'!A1" display="Direkte fordeling fra støtte- til produksjonsavdelinger" xr:uid="{00000000-0004-0000-0000-000001000000}"/>
    <hyperlink ref="B3" location="'Gjensidig fordeling'!A1" display="Trinnvis fordeling fra støtte- til produksjonsavdelinger" xr:uid="{00000000-0004-0000-0000-000002000000}"/>
    <hyperlink ref="B4" location="'Gjensidig fordeling'!A1" display="Gjensidig fordeling fra støtte- til produksjonsavdelinger" xr:uid="{00000000-0004-0000-0000-000003000000}"/>
    <hyperlink ref="B5" location="Divisjonskalkulasjon!A1" display="Divisjonskalkulasjon til produkter" xr:uid="{00000000-0004-0000-0000-000004000000}"/>
    <hyperlink ref="B6" location="Ekvivalenskalkulasjon!A1" display="Ekvivalenskalkulasjon til produkter" xr:uid="{00000000-0004-0000-0000-000005000000}"/>
    <hyperlink ref="B7" location="Tilleggskalkulasjon!A1" display="Tilleggskalkulasjon til produkter" xr:uid="{00000000-0004-0000-0000-000006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showGridLines="0" workbookViewId="0"/>
  </sheetViews>
  <sheetFormatPr defaultColWidth="11.5703125" defaultRowHeight="15" x14ac:dyDescent="0.25"/>
  <cols>
    <col min="1" max="1" width="14.85546875" style="1" bestFit="1" customWidth="1"/>
    <col min="2" max="2" width="22.42578125" style="1" bestFit="1" customWidth="1"/>
    <col min="3" max="6" width="14.7109375" style="1" customWidth="1"/>
    <col min="7" max="16384" width="11.5703125" style="1"/>
  </cols>
  <sheetData>
    <row r="1" spans="1:8" ht="17.25" customHeight="1" thickBot="1" x14ac:dyDescent="0.3">
      <c r="A1" s="1" t="s">
        <v>28</v>
      </c>
    </row>
    <row r="2" spans="1:8" ht="17.25" customHeight="1" x14ac:dyDescent="0.25">
      <c r="A2" s="2"/>
      <c r="B2" s="3" t="s">
        <v>0</v>
      </c>
      <c r="C2" s="3" t="s">
        <v>10</v>
      </c>
      <c r="D2" s="3" t="s">
        <v>11</v>
      </c>
      <c r="E2" s="3" t="s">
        <v>12</v>
      </c>
      <c r="F2" s="4" t="s">
        <v>13</v>
      </c>
    </row>
    <row r="3" spans="1:8" ht="17.25" customHeight="1" x14ac:dyDescent="0.25">
      <c r="A3" s="5" t="s">
        <v>1</v>
      </c>
      <c r="B3" s="20">
        <v>2000000</v>
      </c>
      <c r="C3" s="25" t="s">
        <v>2</v>
      </c>
      <c r="D3" s="25" t="s">
        <v>2</v>
      </c>
      <c r="E3" s="25" t="s">
        <v>2</v>
      </c>
      <c r="F3" s="26" t="s">
        <v>2</v>
      </c>
      <c r="H3" s="19"/>
    </row>
    <row r="4" spans="1:8" ht="17.25" customHeight="1" x14ac:dyDescent="0.25">
      <c r="A4" s="5" t="s">
        <v>3</v>
      </c>
      <c r="B4" s="20">
        <v>5400000</v>
      </c>
      <c r="C4" s="25" t="s">
        <v>2</v>
      </c>
      <c r="D4" s="25" t="s">
        <v>2</v>
      </c>
      <c r="E4" s="25" t="s">
        <v>2</v>
      </c>
      <c r="F4" s="26" t="s">
        <v>2</v>
      </c>
    </row>
    <row r="5" spans="1:8" ht="17.25" customHeight="1" x14ac:dyDescent="0.25">
      <c r="A5" s="5" t="s">
        <v>4</v>
      </c>
      <c r="B5" s="20">
        <v>4200000</v>
      </c>
      <c r="C5" s="25"/>
      <c r="D5" s="25"/>
      <c r="E5" s="25" t="s">
        <v>2</v>
      </c>
      <c r="F5" s="26" t="s">
        <v>2</v>
      </c>
    </row>
    <row r="6" spans="1:8" ht="17.25" customHeight="1" x14ac:dyDescent="0.25">
      <c r="A6" s="5" t="s">
        <v>5</v>
      </c>
      <c r="B6" s="20">
        <v>15000000</v>
      </c>
      <c r="C6" s="25" t="s">
        <v>2</v>
      </c>
      <c r="D6" s="25" t="s">
        <v>2</v>
      </c>
      <c r="E6" s="25" t="s">
        <v>2</v>
      </c>
      <c r="F6" s="26" t="s">
        <v>2</v>
      </c>
    </row>
    <row r="7" spans="1:8" ht="17.25" customHeight="1" thickBot="1" x14ac:dyDescent="0.3">
      <c r="A7" s="6" t="s">
        <v>6</v>
      </c>
      <c r="B7" s="7">
        <f>SUM(B3:B6)</f>
        <v>26600000</v>
      </c>
      <c r="C7" s="8"/>
      <c r="D7" s="8"/>
      <c r="E7" s="8"/>
      <c r="F7" s="9"/>
    </row>
    <row r="8" spans="1:8" ht="17.25" customHeight="1" thickBot="1" x14ac:dyDescent="0.3"/>
    <row r="9" spans="1:8" ht="17.25" customHeight="1" x14ac:dyDescent="0.25">
      <c r="A9" s="2"/>
      <c r="B9" s="3" t="s">
        <v>6</v>
      </c>
      <c r="C9" s="3" t="str">
        <f>+C2</f>
        <v>Støtte 1</v>
      </c>
      <c r="D9" s="3" t="str">
        <f t="shared" ref="D9:F9" si="0">+D2</f>
        <v>Støtte 2</v>
      </c>
      <c r="E9" s="3" t="str">
        <f t="shared" si="0"/>
        <v>Produksjon 1</v>
      </c>
      <c r="F9" s="4" t="str">
        <f t="shared" si="0"/>
        <v>Produksjon 2</v>
      </c>
    </row>
    <row r="10" spans="1:8" ht="17.25" customHeight="1" x14ac:dyDescent="0.25">
      <c r="A10" s="5" t="s">
        <v>7</v>
      </c>
      <c r="B10" s="10">
        <f>SUM(C10:F10)</f>
        <v>100</v>
      </c>
      <c r="C10" s="21">
        <v>10</v>
      </c>
      <c r="D10" s="21">
        <v>20</v>
      </c>
      <c r="E10" s="21">
        <v>30</v>
      </c>
      <c r="F10" s="22">
        <v>40</v>
      </c>
    </row>
    <row r="11" spans="1:8" ht="17.25" customHeight="1" x14ac:dyDescent="0.25">
      <c r="A11" s="5" t="s">
        <v>29</v>
      </c>
      <c r="B11" s="10">
        <f>SUM(C11:F11)</f>
        <v>3600</v>
      </c>
      <c r="C11" s="21">
        <v>200</v>
      </c>
      <c r="D11" s="21">
        <v>600</v>
      </c>
      <c r="E11" s="21">
        <v>1200</v>
      </c>
      <c r="F11" s="22">
        <v>1600</v>
      </c>
    </row>
    <row r="12" spans="1:8" ht="17.25" customHeight="1" x14ac:dyDescent="0.25">
      <c r="A12" s="5" t="s">
        <v>8</v>
      </c>
      <c r="B12" s="10">
        <f>SUM(C12:F12)</f>
        <v>5000000</v>
      </c>
      <c r="C12" s="21">
        <v>0</v>
      </c>
      <c r="D12" s="21">
        <v>0</v>
      </c>
      <c r="E12" s="21">
        <v>2000000</v>
      </c>
      <c r="F12" s="22">
        <v>3000000</v>
      </c>
    </row>
    <row r="13" spans="1:8" ht="17.25" customHeight="1" thickBot="1" x14ac:dyDescent="0.3">
      <c r="A13" s="12" t="s">
        <v>9</v>
      </c>
      <c r="B13" s="13">
        <f>SUM(C13:F13)</f>
        <v>20000000</v>
      </c>
      <c r="C13" s="23">
        <v>400000</v>
      </c>
      <c r="D13" s="23">
        <v>300000</v>
      </c>
      <c r="E13" s="23">
        <v>5000000</v>
      </c>
      <c r="F13" s="24">
        <v>14300000</v>
      </c>
    </row>
    <row r="14" spans="1:8" ht="17.25" customHeight="1" thickBot="1" x14ac:dyDescent="0.3"/>
    <row r="15" spans="1:8" ht="17.25" customHeight="1" x14ac:dyDescent="0.25">
      <c r="A15" s="2"/>
      <c r="B15" s="3" t="s">
        <v>6</v>
      </c>
      <c r="C15" s="3" t="str">
        <f>+C9</f>
        <v>Støtte 1</v>
      </c>
      <c r="D15" s="3" t="str">
        <f t="shared" ref="D15:E15" si="1">+D9</f>
        <v>Støtte 2</v>
      </c>
      <c r="E15" s="3" t="str">
        <f t="shared" si="1"/>
        <v>Produksjon 1</v>
      </c>
      <c r="F15" s="4" t="str">
        <f>+F9</f>
        <v>Produksjon 2</v>
      </c>
    </row>
    <row r="16" spans="1:8" ht="17.25" customHeight="1" x14ac:dyDescent="0.25">
      <c r="A16" s="5" t="s">
        <v>7</v>
      </c>
      <c r="B16" s="14">
        <f>SUM(C16:F16)</f>
        <v>1</v>
      </c>
      <c r="C16" s="14">
        <f>C10/$B10</f>
        <v>0.1</v>
      </c>
      <c r="D16" s="14">
        <f t="shared" ref="D16:F16" si="2">D10/$B10</f>
        <v>0.2</v>
      </c>
      <c r="E16" s="14">
        <f t="shared" si="2"/>
        <v>0.3</v>
      </c>
      <c r="F16" s="15">
        <f t="shared" si="2"/>
        <v>0.4</v>
      </c>
    </row>
    <row r="17" spans="1:6" ht="17.25" customHeight="1" x14ac:dyDescent="0.25">
      <c r="A17" s="5" t="s">
        <v>29</v>
      </c>
      <c r="B17" s="14">
        <f>SUM(C17:F17)</f>
        <v>1</v>
      </c>
      <c r="C17" s="14">
        <f t="shared" ref="C17:F17" si="3">C11/$B11</f>
        <v>5.5555555555555552E-2</v>
      </c>
      <c r="D17" s="14">
        <f t="shared" si="3"/>
        <v>0.16666666666666666</v>
      </c>
      <c r="E17" s="14">
        <f t="shared" si="3"/>
        <v>0.33333333333333331</v>
      </c>
      <c r="F17" s="15">
        <f t="shared" si="3"/>
        <v>0.44444444444444442</v>
      </c>
    </row>
    <row r="18" spans="1:6" ht="17.25" customHeight="1" x14ac:dyDescent="0.25">
      <c r="A18" s="5" t="s">
        <v>8</v>
      </c>
      <c r="B18" s="14">
        <f>SUM(C18:F18)</f>
        <v>1</v>
      </c>
      <c r="C18" s="14">
        <f t="shared" ref="C18:F18" si="4">C12/$B12</f>
        <v>0</v>
      </c>
      <c r="D18" s="14">
        <f t="shared" si="4"/>
        <v>0</v>
      </c>
      <c r="E18" s="14">
        <f t="shared" si="4"/>
        <v>0.4</v>
      </c>
      <c r="F18" s="15">
        <f t="shared" si="4"/>
        <v>0.6</v>
      </c>
    </row>
    <row r="19" spans="1:6" ht="17.25" customHeight="1" thickBot="1" x14ac:dyDescent="0.3">
      <c r="A19" s="12" t="s">
        <v>9</v>
      </c>
      <c r="B19" s="16">
        <f>SUM(C19:F19)</f>
        <v>1</v>
      </c>
      <c r="C19" s="16">
        <f t="shared" ref="C19:F19" si="5">C13/$B13</f>
        <v>0.02</v>
      </c>
      <c r="D19" s="16">
        <f t="shared" si="5"/>
        <v>1.4999999999999999E-2</v>
      </c>
      <c r="E19" s="16">
        <f t="shared" si="5"/>
        <v>0.25</v>
      </c>
      <c r="F19" s="17">
        <f t="shared" si="5"/>
        <v>0.71499999999999997</v>
      </c>
    </row>
    <row r="20" spans="1:6" ht="17.25" customHeight="1" thickBot="1" x14ac:dyDescent="0.3"/>
    <row r="21" spans="1:6" ht="17.25" customHeight="1" x14ac:dyDescent="0.25">
      <c r="A21" s="2"/>
      <c r="B21" s="3" t="s">
        <v>6</v>
      </c>
      <c r="C21" s="3" t="str">
        <f>+C15</f>
        <v>Støtte 1</v>
      </c>
      <c r="D21" s="3" t="str">
        <f t="shared" ref="D21:E21" si="6">+D15</f>
        <v>Støtte 2</v>
      </c>
      <c r="E21" s="3" t="str">
        <f t="shared" si="6"/>
        <v>Produksjon 1</v>
      </c>
      <c r="F21" s="4" t="str">
        <f>+F15</f>
        <v>Produksjon 2</v>
      </c>
    </row>
    <row r="22" spans="1:6" ht="17.25" customHeight="1" x14ac:dyDescent="0.25">
      <c r="A22" s="5" t="s">
        <v>1</v>
      </c>
      <c r="B22" s="10">
        <f>IF(SUM(C22:F22)=B3,SUM(C22:F22),"Sjekk fordelingsnøklene!")</f>
        <v>2000000</v>
      </c>
      <c r="C22" s="10">
        <f>$B3*C16</f>
        <v>200000</v>
      </c>
      <c r="D22" s="10">
        <f t="shared" ref="D22:F22" si="7">$B3*D16</f>
        <v>400000</v>
      </c>
      <c r="E22" s="10">
        <f t="shared" si="7"/>
        <v>600000</v>
      </c>
      <c r="F22" s="11">
        <f t="shared" si="7"/>
        <v>800000</v>
      </c>
    </row>
    <row r="23" spans="1:6" ht="17.25" customHeight="1" x14ac:dyDescent="0.25">
      <c r="A23" s="5" t="s">
        <v>3</v>
      </c>
      <c r="B23" s="10">
        <f t="shared" ref="B23:B25" si="8">IF(SUM(C23:F23)=B4,SUM(C23:F23),"Sjekk fordelingsnøklene!")</f>
        <v>5400000</v>
      </c>
      <c r="C23" s="10">
        <f t="shared" ref="C23:F23" si="9">$B4*C17</f>
        <v>300000</v>
      </c>
      <c r="D23" s="10">
        <f t="shared" si="9"/>
        <v>900000</v>
      </c>
      <c r="E23" s="10">
        <f t="shared" si="9"/>
        <v>1800000</v>
      </c>
      <c r="F23" s="11">
        <f t="shared" si="9"/>
        <v>2400000</v>
      </c>
    </row>
    <row r="24" spans="1:6" ht="17.25" customHeight="1" x14ac:dyDescent="0.25">
      <c r="A24" s="5" t="s">
        <v>4</v>
      </c>
      <c r="B24" s="10">
        <f t="shared" si="8"/>
        <v>4200000</v>
      </c>
      <c r="C24" s="10">
        <f t="shared" ref="C24:F24" si="10">$B5*C18</f>
        <v>0</v>
      </c>
      <c r="D24" s="10">
        <f t="shared" si="10"/>
        <v>0</v>
      </c>
      <c r="E24" s="10">
        <f t="shared" si="10"/>
        <v>1680000</v>
      </c>
      <c r="F24" s="11">
        <f t="shared" si="10"/>
        <v>2520000</v>
      </c>
    </row>
    <row r="25" spans="1:6" ht="17.25" customHeight="1" x14ac:dyDescent="0.25">
      <c r="A25" s="5" t="s">
        <v>5</v>
      </c>
      <c r="B25" s="10">
        <f t="shared" si="8"/>
        <v>15000000</v>
      </c>
      <c r="C25" s="10">
        <f t="shared" ref="C25:F25" si="11">$B6*C19</f>
        <v>300000</v>
      </c>
      <c r="D25" s="10">
        <f t="shared" si="11"/>
        <v>225000</v>
      </c>
      <c r="E25" s="10">
        <f t="shared" si="11"/>
        <v>3750000</v>
      </c>
      <c r="F25" s="11">
        <f t="shared" si="11"/>
        <v>10725000</v>
      </c>
    </row>
    <row r="26" spans="1:6" ht="17.25" customHeight="1" thickBot="1" x14ac:dyDescent="0.3">
      <c r="A26" s="6" t="s">
        <v>6</v>
      </c>
      <c r="B26" s="7">
        <f>SUM(B22:B25)</f>
        <v>26600000</v>
      </c>
      <c r="C26" s="7">
        <f t="shared" ref="C26:F26" si="12">SUM(C22:C25)</f>
        <v>800000</v>
      </c>
      <c r="D26" s="7">
        <f t="shared" si="12"/>
        <v>1525000</v>
      </c>
      <c r="E26" s="7">
        <f t="shared" si="12"/>
        <v>7830000</v>
      </c>
      <c r="F26" s="18">
        <f t="shared" si="12"/>
        <v>16445000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showGridLines="0" workbookViewId="0"/>
  </sheetViews>
  <sheetFormatPr defaultColWidth="11.5703125" defaultRowHeight="15" x14ac:dyDescent="0.25"/>
  <cols>
    <col min="1" max="1" width="34" style="1" bestFit="1" customWidth="1"/>
    <col min="2" max="6" width="20.7109375" style="1" customWidth="1"/>
    <col min="7" max="7" width="11.5703125" style="1"/>
    <col min="8" max="8" width="21.85546875" style="1" bestFit="1" customWidth="1"/>
    <col min="9" max="9" width="15.85546875" style="1" bestFit="1" customWidth="1"/>
    <col min="10" max="10" width="13.85546875" style="1" bestFit="1" customWidth="1"/>
    <col min="11" max="11" width="11.42578125" style="1" bestFit="1" customWidth="1"/>
    <col min="12" max="16384" width="11.5703125" style="1"/>
  </cols>
  <sheetData>
    <row r="1" spans="1:6" x14ac:dyDescent="0.25">
      <c r="A1" s="123" t="s">
        <v>63</v>
      </c>
      <c r="B1" s="102" t="s">
        <v>10</v>
      </c>
      <c r="C1" s="67" t="s">
        <v>11</v>
      </c>
      <c r="D1" s="116" t="s">
        <v>12</v>
      </c>
      <c r="E1" s="102" t="s">
        <v>13</v>
      </c>
      <c r="F1" s="67" t="s">
        <v>6</v>
      </c>
    </row>
    <row r="2" spans="1:6" x14ac:dyDescent="0.25">
      <c r="A2" s="84" t="s">
        <v>71</v>
      </c>
      <c r="B2" s="79"/>
      <c r="C2" s="124">
        <v>0.2</v>
      </c>
      <c r="D2" s="117">
        <v>0.5</v>
      </c>
      <c r="E2" s="80">
        <v>0.3</v>
      </c>
      <c r="F2" s="85">
        <f>SUM(B2:E2)</f>
        <v>1</v>
      </c>
    </row>
    <row r="3" spans="1:6" x14ac:dyDescent="0.25">
      <c r="A3" s="84" t="s">
        <v>72</v>
      </c>
      <c r="B3" s="80">
        <v>0.05</v>
      </c>
      <c r="C3" s="125"/>
      <c r="D3" s="117">
        <v>0.4</v>
      </c>
      <c r="E3" s="80">
        <v>0.55000000000000004</v>
      </c>
      <c r="F3" s="85">
        <f>SUM(B3:E3)</f>
        <v>1</v>
      </c>
    </row>
    <row r="4" spans="1:6" x14ac:dyDescent="0.25">
      <c r="A4" s="81"/>
      <c r="B4" s="77"/>
      <c r="C4" s="83"/>
      <c r="D4" s="81"/>
      <c r="E4" s="77"/>
      <c r="F4" s="83"/>
    </row>
    <row r="5" spans="1:6" x14ac:dyDescent="0.25">
      <c r="A5" s="90" t="s">
        <v>66</v>
      </c>
      <c r="B5" s="78" t="s">
        <v>10</v>
      </c>
      <c r="C5" s="82" t="s">
        <v>11</v>
      </c>
      <c r="D5" s="118" t="s">
        <v>12</v>
      </c>
      <c r="E5" s="78" t="s">
        <v>13</v>
      </c>
      <c r="F5" s="82" t="s">
        <v>6</v>
      </c>
    </row>
    <row r="6" spans="1:6" x14ac:dyDescent="0.25">
      <c r="A6" s="84" t="s">
        <v>71</v>
      </c>
      <c r="B6" s="79"/>
      <c r="C6" s="124"/>
      <c r="D6" s="119">
        <f>D2/($D2+$E2)</f>
        <v>0.625</v>
      </c>
      <c r="E6" s="94">
        <f>E2/($D2+$E2)</f>
        <v>0.37499999999999994</v>
      </c>
      <c r="F6" s="85">
        <f>SUM(B6:E6)</f>
        <v>1</v>
      </c>
    </row>
    <row r="7" spans="1:6" x14ac:dyDescent="0.25">
      <c r="A7" s="84" t="s">
        <v>72</v>
      </c>
      <c r="B7" s="80"/>
      <c r="C7" s="125"/>
      <c r="D7" s="119">
        <f>D3/($D3+$E3)</f>
        <v>0.42105263157894735</v>
      </c>
      <c r="E7" s="94">
        <f>E3/($D3+$E3)</f>
        <v>0.57894736842105265</v>
      </c>
      <c r="F7" s="85">
        <f>SUM(B7:E7)</f>
        <v>1</v>
      </c>
    </row>
    <row r="8" spans="1:6" x14ac:dyDescent="0.25">
      <c r="A8" s="81"/>
      <c r="B8" s="77"/>
      <c r="C8" s="83"/>
      <c r="D8" s="81"/>
      <c r="E8" s="77"/>
      <c r="F8" s="83"/>
    </row>
    <row r="9" spans="1:6" x14ac:dyDescent="0.25">
      <c r="A9" s="84" t="s">
        <v>60</v>
      </c>
      <c r="B9" s="78" t="s">
        <v>10</v>
      </c>
      <c r="C9" s="82" t="s">
        <v>11</v>
      </c>
      <c r="D9" s="118" t="s">
        <v>12</v>
      </c>
      <c r="E9" s="78" t="s">
        <v>13</v>
      </c>
      <c r="F9" s="82" t="s">
        <v>6</v>
      </c>
    </row>
    <row r="10" spans="1:6" x14ac:dyDescent="0.25">
      <c r="A10" s="81" t="s">
        <v>67</v>
      </c>
      <c r="B10" s="87">
        <v>150000</v>
      </c>
      <c r="C10" s="127">
        <v>1200000</v>
      </c>
      <c r="D10" s="120">
        <v>4500000</v>
      </c>
      <c r="E10" s="87">
        <v>6500000</v>
      </c>
      <c r="F10" s="89">
        <f>SUM(B10:E10)</f>
        <v>12350000</v>
      </c>
    </row>
    <row r="11" spans="1:6" x14ac:dyDescent="0.25">
      <c r="A11" s="81"/>
      <c r="B11" s="87"/>
      <c r="C11" s="127"/>
      <c r="D11" s="120"/>
      <c r="E11" s="87"/>
      <c r="F11" s="89"/>
    </row>
    <row r="12" spans="1:6" x14ac:dyDescent="0.25">
      <c r="A12" s="81" t="s">
        <v>68</v>
      </c>
      <c r="B12" s="77"/>
      <c r="C12" s="83"/>
      <c r="D12" s="121">
        <f>+$B$10*D6</f>
        <v>93750</v>
      </c>
      <c r="E12" s="88">
        <f>+$B$10*E6</f>
        <v>56249.999999999993</v>
      </c>
      <c r="F12" s="89">
        <f>SUM(D12:E12)</f>
        <v>150000</v>
      </c>
    </row>
    <row r="13" spans="1:6" x14ac:dyDescent="0.25">
      <c r="A13" s="81" t="s">
        <v>69</v>
      </c>
      <c r="B13" s="77"/>
      <c r="C13" s="83"/>
      <c r="D13" s="121">
        <f>+$C$10*D7</f>
        <v>505263.1578947368</v>
      </c>
      <c r="E13" s="88">
        <f t="shared" ref="E13" si="0">+$C$10*E7</f>
        <v>694736.84210526315</v>
      </c>
      <c r="F13" s="89">
        <f>SUM(D13:E13)</f>
        <v>1200000</v>
      </c>
    </row>
    <row r="14" spans="1:6" ht="15.75" thickBot="1" x14ac:dyDescent="0.3">
      <c r="A14" s="86" t="s">
        <v>70</v>
      </c>
      <c r="B14" s="91"/>
      <c r="C14" s="128"/>
      <c r="D14" s="122">
        <f>SUM(D10:D13)</f>
        <v>5099013.1578947371</v>
      </c>
      <c r="E14" s="92">
        <f>SUM(E10:E13)</f>
        <v>7250986.8421052629</v>
      </c>
      <c r="F14" s="93">
        <f>SUM(D14:E14)</f>
        <v>12350000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showGridLines="0" workbookViewId="0"/>
  </sheetViews>
  <sheetFormatPr defaultColWidth="11.5703125" defaultRowHeight="15" x14ac:dyDescent="0.25"/>
  <cols>
    <col min="1" max="1" width="34" style="1" bestFit="1" customWidth="1"/>
    <col min="2" max="6" width="20.7109375" style="1" customWidth="1"/>
    <col min="7" max="7" width="11.5703125" style="1"/>
    <col min="8" max="8" width="21.85546875" style="1" bestFit="1" customWidth="1"/>
    <col min="9" max="9" width="15.85546875" style="1" bestFit="1" customWidth="1"/>
    <col min="10" max="10" width="13.85546875" style="1" bestFit="1" customWidth="1"/>
    <col min="11" max="11" width="11.42578125" style="1" bestFit="1" customWidth="1"/>
    <col min="12" max="16384" width="11.5703125" style="1"/>
  </cols>
  <sheetData>
    <row r="1" spans="1:6" x14ac:dyDescent="0.25">
      <c r="A1" s="123" t="s">
        <v>63</v>
      </c>
      <c r="B1" s="102" t="s">
        <v>10</v>
      </c>
      <c r="C1" s="67" t="s">
        <v>11</v>
      </c>
      <c r="D1" s="116" t="s">
        <v>12</v>
      </c>
      <c r="E1" s="102" t="s">
        <v>13</v>
      </c>
      <c r="F1" s="67" t="s">
        <v>6</v>
      </c>
    </row>
    <row r="2" spans="1:6" x14ac:dyDescent="0.25">
      <c r="A2" s="84" t="s">
        <v>71</v>
      </c>
      <c r="B2" s="79"/>
      <c r="C2" s="124">
        <v>0.2</v>
      </c>
      <c r="D2" s="117">
        <v>0.5</v>
      </c>
      <c r="E2" s="80">
        <v>0.3</v>
      </c>
      <c r="F2" s="85">
        <f>SUM(B2:E2)</f>
        <v>1</v>
      </c>
    </row>
    <row r="3" spans="1:6" x14ac:dyDescent="0.25">
      <c r="A3" s="84" t="s">
        <v>72</v>
      </c>
      <c r="B3" s="80">
        <v>0.05</v>
      </c>
      <c r="C3" s="125"/>
      <c r="D3" s="117">
        <v>0.4</v>
      </c>
      <c r="E3" s="80">
        <v>0.55000000000000004</v>
      </c>
      <c r="F3" s="85">
        <f>SUM(B3:E3)</f>
        <v>1</v>
      </c>
    </row>
    <row r="4" spans="1:6" x14ac:dyDescent="0.25">
      <c r="A4" s="81"/>
      <c r="B4" s="77"/>
      <c r="C4" s="83"/>
      <c r="D4" s="81"/>
      <c r="E4" s="77"/>
      <c r="F4" s="83"/>
    </row>
    <row r="5" spans="1:6" x14ac:dyDescent="0.25">
      <c r="A5" s="90" t="s">
        <v>66</v>
      </c>
      <c r="B5" s="78" t="s">
        <v>10</v>
      </c>
      <c r="C5" s="82" t="s">
        <v>11</v>
      </c>
      <c r="D5" s="118" t="s">
        <v>12</v>
      </c>
      <c r="E5" s="78" t="s">
        <v>13</v>
      </c>
      <c r="F5" s="82" t="s">
        <v>6</v>
      </c>
    </row>
    <row r="6" spans="1:6" x14ac:dyDescent="0.25">
      <c r="A6" s="84" t="s">
        <v>71</v>
      </c>
      <c r="B6" s="94"/>
      <c r="C6" s="126">
        <f>+C2</f>
        <v>0.2</v>
      </c>
      <c r="D6" s="119">
        <f t="shared" ref="D6:E6" si="0">+D2</f>
        <v>0.5</v>
      </c>
      <c r="E6" s="94">
        <f t="shared" si="0"/>
        <v>0.3</v>
      </c>
      <c r="F6" s="85">
        <f>SUM(B6:E6)</f>
        <v>1</v>
      </c>
    </row>
    <row r="7" spans="1:6" x14ac:dyDescent="0.25">
      <c r="A7" s="84" t="s">
        <v>72</v>
      </c>
      <c r="B7" s="80"/>
      <c r="C7" s="126"/>
      <c r="D7" s="119">
        <f>D3/($D$3+$E$3)</f>
        <v>0.42105263157894735</v>
      </c>
      <c r="E7" s="94">
        <f>E3/($D$3+$E$3)</f>
        <v>0.57894736842105265</v>
      </c>
      <c r="F7" s="85">
        <f>SUM(B7:E7)</f>
        <v>1</v>
      </c>
    </row>
    <row r="8" spans="1:6" x14ac:dyDescent="0.25">
      <c r="A8" s="81"/>
      <c r="B8" s="77"/>
      <c r="C8" s="83"/>
      <c r="D8" s="81"/>
      <c r="E8" s="77"/>
      <c r="F8" s="83"/>
    </row>
    <row r="9" spans="1:6" x14ac:dyDescent="0.25">
      <c r="A9" s="84" t="s">
        <v>60</v>
      </c>
      <c r="B9" s="78" t="s">
        <v>10</v>
      </c>
      <c r="C9" s="82" t="s">
        <v>11</v>
      </c>
      <c r="D9" s="118" t="s">
        <v>12</v>
      </c>
      <c r="E9" s="78" t="s">
        <v>13</v>
      </c>
      <c r="F9" s="82" t="s">
        <v>6</v>
      </c>
    </row>
    <row r="10" spans="1:6" x14ac:dyDescent="0.25">
      <c r="A10" s="81" t="s">
        <v>67</v>
      </c>
      <c r="B10" s="87">
        <v>150000</v>
      </c>
      <c r="C10" s="127">
        <v>1200000</v>
      </c>
      <c r="D10" s="120">
        <v>4500000</v>
      </c>
      <c r="E10" s="87">
        <v>6500000</v>
      </c>
      <c r="F10" s="89">
        <f>SUM(B10:E10)</f>
        <v>12350000</v>
      </c>
    </row>
    <row r="11" spans="1:6" x14ac:dyDescent="0.25">
      <c r="A11" s="81"/>
      <c r="B11" s="87"/>
      <c r="C11" s="127"/>
      <c r="D11" s="120"/>
      <c r="E11" s="87"/>
      <c r="F11" s="89"/>
    </row>
    <row r="12" spans="1:6" x14ac:dyDescent="0.25">
      <c r="A12" s="81" t="s">
        <v>68</v>
      </c>
      <c r="B12" s="77"/>
      <c r="C12" s="89">
        <f>+$B$10*C6</f>
        <v>30000</v>
      </c>
      <c r="D12" s="121">
        <f t="shared" ref="D12:E12" si="1">+$B$10*D6</f>
        <v>75000</v>
      </c>
      <c r="E12" s="88">
        <f t="shared" si="1"/>
        <v>45000</v>
      </c>
      <c r="F12" s="89">
        <f>SUM(D12:E12)</f>
        <v>120000</v>
      </c>
    </row>
    <row r="13" spans="1:6" x14ac:dyDescent="0.25">
      <c r="A13" s="81" t="s">
        <v>69</v>
      </c>
      <c r="B13" s="77"/>
      <c r="C13" s="89">
        <f>+C10+C12</f>
        <v>1230000</v>
      </c>
      <c r="D13" s="121">
        <f>+$C$13*D7</f>
        <v>517894.73684210522</v>
      </c>
      <c r="E13" s="88">
        <f>+$C$13*E7</f>
        <v>712105.26315789472</v>
      </c>
      <c r="F13" s="89">
        <f>SUM(D13:E13)</f>
        <v>1230000</v>
      </c>
    </row>
    <row r="14" spans="1:6" ht="15.75" thickBot="1" x14ac:dyDescent="0.3">
      <c r="A14" s="86" t="s">
        <v>70</v>
      </c>
      <c r="B14" s="91"/>
      <c r="C14" s="128"/>
      <c r="D14" s="122">
        <f>SUM(D10:D13)</f>
        <v>5092894.7368421052</v>
      </c>
      <c r="E14" s="92">
        <f>SUM(E10:E13)</f>
        <v>7257105.2631578948</v>
      </c>
      <c r="F14" s="93">
        <f>SUM(D14:E14)</f>
        <v>12350000</v>
      </c>
    </row>
    <row r="16" spans="1:6" x14ac:dyDescent="0.25">
      <c r="A16" s="1" t="s">
        <v>73</v>
      </c>
    </row>
    <row r="17" spans="1:1" x14ac:dyDescent="0.25">
      <c r="A17" s="1" t="s">
        <v>91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1"/>
  <sheetViews>
    <sheetView showGridLines="0" workbookViewId="0"/>
  </sheetViews>
  <sheetFormatPr defaultColWidth="11.42578125" defaultRowHeight="15" x14ac:dyDescent="0.25"/>
  <cols>
    <col min="1" max="1" width="12.42578125" style="27" bestFit="1" customWidth="1"/>
    <col min="2" max="2" width="7.42578125" style="27" bestFit="1" customWidth="1"/>
    <col min="3" max="3" width="2.42578125" style="105" bestFit="1" customWidth="1"/>
    <col min="4" max="4" width="10.5703125" style="27" bestFit="1" customWidth="1"/>
    <col min="5" max="5" width="2.42578125" style="105" bestFit="1" customWidth="1"/>
    <col min="6" max="6" width="7.28515625" style="27" bestFit="1" customWidth="1"/>
    <col min="7" max="7" width="2.140625" style="105" bestFit="1" customWidth="1"/>
    <col min="8" max="8" width="14" style="27" bestFit="1" customWidth="1"/>
    <col min="9" max="9" width="2.42578125" style="27" bestFit="1" customWidth="1"/>
    <col min="10" max="10" width="5.28515625" style="27" bestFit="1" customWidth="1"/>
    <col min="11" max="11" width="2.140625" style="27" bestFit="1" customWidth="1"/>
    <col min="12" max="12" width="5.28515625" style="27" bestFit="1" customWidth="1"/>
    <col min="13" max="13" width="2.140625" style="27" bestFit="1" customWidth="1"/>
    <col min="14" max="14" width="7.28515625" style="27" bestFit="1" customWidth="1"/>
    <col min="15" max="15" width="11.42578125" style="27"/>
    <col min="16" max="16" width="32.140625" style="27" bestFit="1" customWidth="1"/>
    <col min="17" max="21" width="15.7109375" style="27" customWidth="1"/>
    <col min="22" max="16384" width="11.42578125" style="27"/>
  </cols>
  <sheetData>
    <row r="1" spans="1:22" x14ac:dyDescent="0.25">
      <c r="A1" s="27" t="s">
        <v>80</v>
      </c>
      <c r="C1" s="27"/>
      <c r="E1" s="27"/>
      <c r="G1" s="27"/>
      <c r="P1" s="123" t="s">
        <v>63</v>
      </c>
      <c r="Q1" s="103" t="s">
        <v>10</v>
      </c>
      <c r="R1" s="67" t="s">
        <v>11</v>
      </c>
      <c r="S1" s="116" t="s">
        <v>12</v>
      </c>
      <c r="T1" s="103" t="s">
        <v>13</v>
      </c>
      <c r="U1" s="67" t="s">
        <v>6</v>
      </c>
    </row>
    <row r="2" spans="1:22" x14ac:dyDescent="0.25">
      <c r="A2" s="27" t="s">
        <v>81</v>
      </c>
      <c r="C2" s="27"/>
      <c r="E2" s="27"/>
      <c r="G2" s="27"/>
      <c r="P2" s="84" t="s">
        <v>71</v>
      </c>
      <c r="Q2" s="79"/>
      <c r="R2" s="124">
        <v>0.2</v>
      </c>
      <c r="S2" s="117">
        <v>0.5</v>
      </c>
      <c r="T2" s="80">
        <v>0.3</v>
      </c>
      <c r="U2" s="85">
        <f>SUM(Q2:T2)</f>
        <v>1</v>
      </c>
    </row>
    <row r="3" spans="1:22" x14ac:dyDescent="0.25">
      <c r="C3" s="27"/>
      <c r="E3" s="27"/>
      <c r="G3" s="27"/>
      <c r="P3" s="84" t="s">
        <v>72</v>
      </c>
      <c r="Q3" s="80">
        <v>0.05</v>
      </c>
      <c r="R3" s="125"/>
      <c r="S3" s="117">
        <v>0.4</v>
      </c>
      <c r="T3" s="80">
        <v>0.55000000000000004</v>
      </c>
      <c r="U3" s="85">
        <f>SUM(Q3:T3)</f>
        <v>1</v>
      </c>
    </row>
    <row r="4" spans="1:22" x14ac:dyDescent="0.25">
      <c r="A4" s="27" t="s">
        <v>74</v>
      </c>
      <c r="B4" s="27" t="s">
        <v>65</v>
      </c>
      <c r="C4" s="105" t="s">
        <v>75</v>
      </c>
      <c r="D4" s="113">
        <v>150000</v>
      </c>
      <c r="E4" s="105" t="s">
        <v>76</v>
      </c>
      <c r="F4" s="114">
        <v>0.05</v>
      </c>
      <c r="G4" s="133" t="s">
        <v>77</v>
      </c>
      <c r="H4" s="27" t="s">
        <v>11</v>
      </c>
      <c r="P4" s="81"/>
      <c r="Q4" s="77"/>
      <c r="R4" s="83"/>
      <c r="S4" s="81"/>
      <c r="T4" s="77"/>
      <c r="U4" s="83"/>
    </row>
    <row r="5" spans="1:22" x14ac:dyDescent="0.25">
      <c r="B5" s="27" t="s">
        <v>64</v>
      </c>
      <c r="C5" s="105" t="s">
        <v>75</v>
      </c>
      <c r="D5" s="113">
        <v>1200000</v>
      </c>
      <c r="E5" s="105" t="s">
        <v>76</v>
      </c>
      <c r="F5" s="114">
        <v>0.2</v>
      </c>
      <c r="G5" s="133" t="s">
        <v>77</v>
      </c>
      <c r="H5" s="27" t="s">
        <v>10</v>
      </c>
      <c r="P5" s="90" t="s">
        <v>66</v>
      </c>
      <c r="Q5" s="78" t="s">
        <v>10</v>
      </c>
      <c r="R5" s="82" t="s">
        <v>11</v>
      </c>
      <c r="S5" s="118" t="s">
        <v>12</v>
      </c>
      <c r="T5" s="78" t="s">
        <v>13</v>
      </c>
      <c r="U5" s="82" t="s">
        <v>6</v>
      </c>
    </row>
    <row r="6" spans="1:22" x14ac:dyDescent="0.25">
      <c r="D6" s="109"/>
      <c r="P6" s="84" t="s">
        <v>71</v>
      </c>
      <c r="Q6" s="94"/>
      <c r="R6" s="126"/>
      <c r="S6" s="119">
        <f>S2/($S$2+$T$2)</f>
        <v>0.625</v>
      </c>
      <c r="T6" s="94">
        <f>T2/($S$2+$T$2)</f>
        <v>0.37499999999999994</v>
      </c>
      <c r="U6" s="85">
        <f>SUM(Q6:T6)</f>
        <v>1</v>
      </c>
    </row>
    <row r="7" spans="1:22" x14ac:dyDescent="0.25">
      <c r="B7" s="27" t="s">
        <v>64</v>
      </c>
      <c r="C7" s="105" t="s">
        <v>75</v>
      </c>
      <c r="D7" s="109">
        <f>+D5</f>
        <v>1200000</v>
      </c>
      <c r="E7" s="105" t="s">
        <v>76</v>
      </c>
      <c r="F7" s="104">
        <f>+F5</f>
        <v>0.2</v>
      </c>
      <c r="G7" s="133" t="s">
        <v>77</v>
      </c>
      <c r="H7" s="109">
        <f>+D4</f>
        <v>150000</v>
      </c>
      <c r="I7" s="105" t="s">
        <v>76</v>
      </c>
      <c r="J7" s="104">
        <f>+F4</f>
        <v>0.05</v>
      </c>
      <c r="K7" s="133" t="s">
        <v>77</v>
      </c>
      <c r="L7" s="104">
        <f>+F5</f>
        <v>0.2</v>
      </c>
      <c r="M7" s="133" t="s">
        <v>77</v>
      </c>
      <c r="N7" s="104" t="s">
        <v>11</v>
      </c>
      <c r="P7" s="84" t="s">
        <v>72</v>
      </c>
      <c r="Q7" s="80"/>
      <c r="R7" s="126"/>
      <c r="S7" s="129">
        <f>S3/($S$3+$T$3)</f>
        <v>0.42105263157894735</v>
      </c>
      <c r="T7" s="115">
        <f>T3/($S$3+$T$3)</f>
        <v>0.57894736842105265</v>
      </c>
      <c r="U7" s="85">
        <f>SUM(Q7:T7)</f>
        <v>1</v>
      </c>
    </row>
    <row r="8" spans="1:22" x14ac:dyDescent="0.25">
      <c r="B8" s="27" t="s">
        <v>64</v>
      </c>
      <c r="C8" s="105" t="s">
        <v>78</v>
      </c>
      <c r="D8" s="110">
        <f>+J7*L7</f>
        <v>1.0000000000000002E-2</v>
      </c>
      <c r="E8" s="133" t="s">
        <v>77</v>
      </c>
      <c r="F8" s="104" t="s">
        <v>11</v>
      </c>
      <c r="G8" s="105" t="s">
        <v>75</v>
      </c>
      <c r="H8" s="109">
        <f>+D7+F7*H7</f>
        <v>1230000</v>
      </c>
      <c r="P8" s="81"/>
      <c r="Q8" s="77"/>
      <c r="R8" s="83"/>
      <c r="S8" s="81"/>
      <c r="T8" s="77"/>
      <c r="U8" s="83"/>
    </row>
    <row r="9" spans="1:22" x14ac:dyDescent="0.25">
      <c r="F9" s="27" t="s">
        <v>11</v>
      </c>
      <c r="G9" s="105" t="s">
        <v>75</v>
      </c>
      <c r="H9" s="108">
        <f>+H8/(1-D8)</f>
        <v>1242424.2424242424</v>
      </c>
      <c r="P9" s="84" t="s">
        <v>60</v>
      </c>
      <c r="Q9" s="78" t="s">
        <v>10</v>
      </c>
      <c r="R9" s="82" t="s">
        <v>11</v>
      </c>
      <c r="S9" s="118" t="s">
        <v>12</v>
      </c>
      <c r="T9" s="78" t="s">
        <v>13</v>
      </c>
      <c r="U9" s="82" t="s">
        <v>6</v>
      </c>
    </row>
    <row r="10" spans="1:22" x14ac:dyDescent="0.25">
      <c r="P10" s="81" t="s">
        <v>67</v>
      </c>
      <c r="Q10" s="87">
        <f>+H11-H16</f>
        <v>169696.9696969697</v>
      </c>
      <c r="R10" s="127">
        <f>+H9-H15</f>
        <v>1180303.0303030303</v>
      </c>
      <c r="S10" s="120"/>
      <c r="T10" s="87"/>
      <c r="U10" s="89">
        <f>SUM(Q10:R10)</f>
        <v>1350000</v>
      </c>
    </row>
    <row r="11" spans="1:22" x14ac:dyDescent="0.25">
      <c r="F11" s="27" t="s">
        <v>10</v>
      </c>
      <c r="G11" s="105" t="s">
        <v>75</v>
      </c>
      <c r="H11" s="108">
        <f>+D4+F4*H9</f>
        <v>212121.21212121213</v>
      </c>
      <c r="P11" s="81"/>
      <c r="Q11" s="87"/>
      <c r="R11" s="127"/>
      <c r="S11" s="120"/>
      <c r="T11" s="87"/>
      <c r="U11" s="89"/>
    </row>
    <row r="12" spans="1:22" x14ac:dyDescent="0.25">
      <c r="P12" s="81" t="s">
        <v>68</v>
      </c>
      <c r="Q12" s="88">
        <f>+Q10</f>
        <v>169696.9696969697</v>
      </c>
      <c r="R12" s="89"/>
      <c r="S12" s="121">
        <f>+$Q$12*S6</f>
        <v>106060.60606060606</v>
      </c>
      <c r="T12" s="88">
        <f>+$Q$12*T6</f>
        <v>63636.363636363625</v>
      </c>
      <c r="U12" s="89">
        <f>SUM(S12:T12)</f>
        <v>169696.9696969697</v>
      </c>
    </row>
    <row r="13" spans="1:22" x14ac:dyDescent="0.25">
      <c r="F13" s="27" t="s">
        <v>79</v>
      </c>
      <c r="H13" s="111">
        <f>+H9+H11</f>
        <v>1454545.4545454546</v>
      </c>
      <c r="P13" s="81" t="s">
        <v>69</v>
      </c>
      <c r="Q13" s="77"/>
      <c r="R13" s="89">
        <f>+R10</f>
        <v>1180303.0303030303</v>
      </c>
      <c r="S13" s="121">
        <f>+$R$13*S7</f>
        <v>496969.6969696969</v>
      </c>
      <c r="T13" s="88">
        <f>+$R$13*T7</f>
        <v>683333.33333333337</v>
      </c>
      <c r="U13" s="89">
        <f>SUM(S13:T13)</f>
        <v>1180303.0303030303</v>
      </c>
    </row>
    <row r="14" spans="1:22" ht="15.75" thickBot="1" x14ac:dyDescent="0.3">
      <c r="P14" s="86" t="s">
        <v>70</v>
      </c>
      <c r="Q14" s="91"/>
      <c r="R14" s="128"/>
      <c r="S14" s="122">
        <f>SUM(S10:S13)</f>
        <v>603030.30303030298</v>
      </c>
      <c r="T14" s="92">
        <f>SUM(T10:T13)</f>
        <v>746969.69696969702</v>
      </c>
      <c r="U14" s="93">
        <f>SUM(S14:T14)</f>
        <v>1350000</v>
      </c>
    </row>
    <row r="15" spans="1:22" ht="15.75" thickBot="1" x14ac:dyDescent="0.3">
      <c r="A15" s="27" t="s">
        <v>82</v>
      </c>
      <c r="F15" s="27" t="s">
        <v>65</v>
      </c>
      <c r="H15" s="112">
        <f>+H11-D4</f>
        <v>62121.212121212127</v>
      </c>
    </row>
    <row r="16" spans="1:22" x14ac:dyDescent="0.25">
      <c r="F16" s="27" t="s">
        <v>64</v>
      </c>
      <c r="H16" s="112">
        <f>+H9-D5</f>
        <v>42424.242424242431</v>
      </c>
      <c r="P16" s="44" t="s">
        <v>88</v>
      </c>
      <c r="Q16" s="136" t="s">
        <v>12</v>
      </c>
      <c r="R16" s="137"/>
      <c r="S16" s="138"/>
      <c r="T16" s="136" t="s">
        <v>13</v>
      </c>
      <c r="U16" s="137"/>
      <c r="V16" s="139"/>
    </row>
    <row r="17" spans="3:22" x14ac:dyDescent="0.25">
      <c r="C17" s="27"/>
      <c r="E17" s="27"/>
      <c r="G17" s="27"/>
      <c r="P17" s="48"/>
      <c r="Q17" s="78" t="s">
        <v>86</v>
      </c>
      <c r="R17" s="78" t="s">
        <v>87</v>
      </c>
      <c r="S17" s="78" t="s">
        <v>6</v>
      </c>
      <c r="T17" s="78" t="s">
        <v>86</v>
      </c>
      <c r="U17" s="78" t="s">
        <v>87</v>
      </c>
      <c r="V17" s="82" t="s">
        <v>6</v>
      </c>
    </row>
    <row r="18" spans="3:22" x14ac:dyDescent="0.25">
      <c r="P18" s="48" t="s">
        <v>83</v>
      </c>
      <c r="Q18" s="106">
        <f>'Direkte fordeling'!D12</f>
        <v>93750</v>
      </c>
      <c r="R18" s="106">
        <f>'Direkte fordeling'!D13</f>
        <v>505263.1578947368</v>
      </c>
      <c r="S18" s="106">
        <f>+Q18+R18</f>
        <v>599013.15789473685</v>
      </c>
      <c r="T18" s="106">
        <f>'Direkte fordeling'!E12</f>
        <v>56249.999999999993</v>
      </c>
      <c r="U18" s="106">
        <f>'Direkte fordeling'!E13</f>
        <v>694736.84210526315</v>
      </c>
      <c r="V18" s="69">
        <f>+T18+U18</f>
        <v>750986.84210526315</v>
      </c>
    </row>
    <row r="19" spans="3:22" x14ac:dyDescent="0.25">
      <c r="P19" s="48" t="s">
        <v>84</v>
      </c>
      <c r="Q19" s="106">
        <f>'Trinnvis fordeling'!D12</f>
        <v>75000</v>
      </c>
      <c r="R19" s="106">
        <f>'Trinnvis fordeling'!D13</f>
        <v>517894.73684210522</v>
      </c>
      <c r="S19" s="106">
        <f t="shared" ref="S19:S20" si="0">+Q19+R19</f>
        <v>592894.73684210517</v>
      </c>
      <c r="T19" s="106">
        <f>'Trinnvis fordeling'!E12</f>
        <v>45000</v>
      </c>
      <c r="U19" s="106">
        <f>'Trinnvis fordeling'!E13</f>
        <v>712105.26315789472</v>
      </c>
      <c r="V19" s="69">
        <f t="shared" ref="V19:V20" si="1">+T19+U19</f>
        <v>757105.26315789472</v>
      </c>
    </row>
    <row r="20" spans="3:22" ht="15.75" thickBot="1" x14ac:dyDescent="0.3">
      <c r="P20" s="56" t="s">
        <v>85</v>
      </c>
      <c r="Q20" s="107">
        <f>S12</f>
        <v>106060.60606060606</v>
      </c>
      <c r="R20" s="107">
        <f>+S13</f>
        <v>496969.6969696969</v>
      </c>
      <c r="S20" s="107">
        <f t="shared" si="0"/>
        <v>603030.30303030298</v>
      </c>
      <c r="T20" s="107">
        <f>+T12</f>
        <v>63636.363636363625</v>
      </c>
      <c r="U20" s="107">
        <f>+T13</f>
        <v>683333.33333333337</v>
      </c>
      <c r="V20" s="71">
        <f t="shared" si="1"/>
        <v>746969.69696969702</v>
      </c>
    </row>
    <row r="21" spans="3:22" x14ac:dyDescent="0.25">
      <c r="D21" s="135" t="s">
        <v>89</v>
      </c>
      <c r="E21" s="134" t="s">
        <v>90</v>
      </c>
    </row>
  </sheetData>
  <mergeCells count="2">
    <mergeCell ref="Q16:S16"/>
    <mergeCell ref="T16:V16"/>
  </mergeCells>
  <hyperlinks>
    <hyperlink ref="E21" r:id="rId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showGridLines="0" workbookViewId="0"/>
  </sheetViews>
  <sheetFormatPr defaultColWidth="11.42578125" defaultRowHeight="15" x14ac:dyDescent="0.25"/>
  <cols>
    <col min="1" max="1" width="41.5703125" style="27" bestFit="1" customWidth="1"/>
    <col min="2" max="2" width="13.85546875" style="27" bestFit="1" customWidth="1"/>
    <col min="3" max="16384" width="11.42578125" style="27"/>
  </cols>
  <sheetData>
    <row r="1" spans="1:2" x14ac:dyDescent="0.25">
      <c r="A1" s="73" t="s">
        <v>30</v>
      </c>
      <c r="B1" s="74">
        <v>25000000</v>
      </c>
    </row>
    <row r="2" spans="1:2" x14ac:dyDescent="0.25">
      <c r="A2" s="48" t="s">
        <v>31</v>
      </c>
      <c r="B2" s="75">
        <v>6000</v>
      </c>
    </row>
    <row r="3" spans="1:2" ht="15.75" thickBot="1" x14ac:dyDescent="0.3">
      <c r="A3" s="56" t="s">
        <v>32</v>
      </c>
      <c r="B3" s="76">
        <f>+B1/B2</f>
        <v>4166.666666666667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4"/>
  <sheetViews>
    <sheetView showGridLines="0" workbookViewId="0"/>
  </sheetViews>
  <sheetFormatPr defaultColWidth="11.42578125" defaultRowHeight="15" x14ac:dyDescent="0.25"/>
  <cols>
    <col min="1" max="1" width="25.28515625" style="27" bestFit="1" customWidth="1"/>
    <col min="2" max="7" width="19.7109375" style="27" customWidth="1"/>
    <col min="8" max="16384" width="11.42578125" style="27"/>
  </cols>
  <sheetData>
    <row r="1" spans="1:8" ht="15.75" thickBot="1" x14ac:dyDescent="0.3">
      <c r="A1" s="39" t="s">
        <v>30</v>
      </c>
      <c r="B1" s="40">
        <v>5000000</v>
      </c>
      <c r="C1" s="41"/>
      <c r="D1" s="41"/>
      <c r="E1" s="41"/>
      <c r="F1" s="41"/>
      <c r="G1" s="41"/>
    </row>
    <row r="2" spans="1:8" ht="15.75" thickBot="1" x14ac:dyDescent="0.3">
      <c r="A2" s="42"/>
      <c r="B2" s="43"/>
      <c r="C2" s="41"/>
      <c r="D2" s="41"/>
      <c r="E2" s="41"/>
      <c r="F2" s="41"/>
      <c r="G2" s="41"/>
    </row>
    <row r="3" spans="1:8" x14ac:dyDescent="0.25">
      <c r="A3" s="44" t="s">
        <v>50</v>
      </c>
      <c r="B3" s="45" t="s">
        <v>55</v>
      </c>
      <c r="C3" s="140" t="s">
        <v>54</v>
      </c>
      <c r="D3" s="140"/>
      <c r="E3" s="46" t="s">
        <v>56</v>
      </c>
      <c r="F3" s="46" t="s">
        <v>57</v>
      </c>
      <c r="G3" s="47" t="s">
        <v>58</v>
      </c>
    </row>
    <row r="4" spans="1:8" x14ac:dyDescent="0.25">
      <c r="A4" s="48" t="s">
        <v>51</v>
      </c>
      <c r="B4" s="49">
        <v>400</v>
      </c>
      <c r="C4" s="50">
        <v>4</v>
      </c>
      <c r="D4" s="49">
        <f>+B4*C4</f>
        <v>1600</v>
      </c>
      <c r="E4" s="51">
        <v>1</v>
      </c>
      <c r="F4" s="52">
        <f>+B4</f>
        <v>400</v>
      </c>
      <c r="G4" s="53">
        <f>+C4*F4</f>
        <v>1600</v>
      </c>
      <c r="H4" s="54"/>
    </row>
    <row r="5" spans="1:8" x14ac:dyDescent="0.25">
      <c r="A5" s="48" t="s">
        <v>52</v>
      </c>
      <c r="B5" s="49">
        <v>800</v>
      </c>
      <c r="C5" s="50">
        <v>6</v>
      </c>
      <c r="D5" s="49">
        <f t="shared" ref="D5:D6" si="0">+B5*C5</f>
        <v>4800</v>
      </c>
      <c r="E5" s="55">
        <f>C5/$C$4</f>
        <v>1.5</v>
      </c>
      <c r="F5" s="52">
        <f>+B5*E5</f>
        <v>1200</v>
      </c>
      <c r="G5" s="53">
        <f>+C5*F5/E5</f>
        <v>4800</v>
      </c>
      <c r="H5" s="54"/>
    </row>
    <row r="6" spans="1:8" ht="15.75" thickBot="1" x14ac:dyDescent="0.3">
      <c r="A6" s="56" t="s">
        <v>53</v>
      </c>
      <c r="B6" s="57">
        <v>1200</v>
      </c>
      <c r="C6" s="58">
        <v>2</v>
      </c>
      <c r="D6" s="57">
        <f t="shared" si="0"/>
        <v>2400</v>
      </c>
      <c r="E6" s="59">
        <f>C6/$C$4</f>
        <v>0.5</v>
      </c>
      <c r="F6" s="60">
        <f>+B6*E6</f>
        <v>600</v>
      </c>
      <c r="G6" s="61">
        <f>+C6*F6/E6</f>
        <v>2400</v>
      </c>
      <c r="H6" s="54"/>
    </row>
    <row r="7" spans="1:8" ht="15.75" thickBot="1" x14ac:dyDescent="0.3">
      <c r="A7" s="62"/>
      <c r="B7" s="63">
        <f>SUM(B4:B6)</f>
        <v>2400</v>
      </c>
      <c r="C7" s="64" t="s">
        <v>59</v>
      </c>
      <c r="D7" s="63">
        <f>SUM(D4:D6)</f>
        <v>8800</v>
      </c>
      <c r="E7" s="65"/>
      <c r="F7" s="63">
        <f>SUM(F4:F6)</f>
        <v>2200</v>
      </c>
      <c r="G7" s="66">
        <f>IF(SUM(G4:G6)=D7,SUM(G4:G6),"Sjekk fordelingen!")</f>
        <v>8800</v>
      </c>
    </row>
    <row r="9" spans="1:8" ht="15.75" thickBot="1" x14ac:dyDescent="0.3">
      <c r="A9" s="27" t="s">
        <v>60</v>
      </c>
    </row>
    <row r="10" spans="1:8" x14ac:dyDescent="0.25">
      <c r="A10" s="44" t="s">
        <v>50</v>
      </c>
      <c r="B10" s="45" t="s">
        <v>61</v>
      </c>
      <c r="C10" s="67" t="s">
        <v>62</v>
      </c>
    </row>
    <row r="11" spans="1:8" x14ac:dyDescent="0.25">
      <c r="A11" s="48" t="s">
        <v>51</v>
      </c>
      <c r="B11" s="68">
        <f>$B$1/$F$7*E4</f>
        <v>2272.7272727272725</v>
      </c>
      <c r="C11" s="69">
        <f>+B11*B4</f>
        <v>909090.90909090906</v>
      </c>
    </row>
    <row r="12" spans="1:8" x14ac:dyDescent="0.25">
      <c r="A12" s="48" t="s">
        <v>52</v>
      </c>
      <c r="B12" s="68">
        <f t="shared" ref="B12:B13" si="1">$B$1/$F$7*E5</f>
        <v>3409.090909090909</v>
      </c>
      <c r="C12" s="69">
        <f t="shared" ref="C12:C13" si="2">+B12*B5</f>
        <v>2727272.7272727271</v>
      </c>
    </row>
    <row r="13" spans="1:8" ht="15.75" thickBot="1" x14ac:dyDescent="0.3">
      <c r="A13" s="56" t="s">
        <v>53</v>
      </c>
      <c r="B13" s="70">
        <f t="shared" si="1"/>
        <v>1136.3636363636363</v>
      </c>
      <c r="C13" s="71">
        <f t="shared" si="2"/>
        <v>1363636.3636363635</v>
      </c>
    </row>
    <row r="14" spans="1:8" ht="15.75" thickBot="1" x14ac:dyDescent="0.3">
      <c r="A14" s="62"/>
      <c r="B14" s="65"/>
      <c r="C14" s="72">
        <f>IF(SUM(C11:C13)=B1,SUM(C11:C13),"Sjekk fordelingen!")</f>
        <v>5000000</v>
      </c>
    </row>
  </sheetData>
  <mergeCells count="1">
    <mergeCell ref="C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0"/>
  <sheetViews>
    <sheetView showGridLines="0" workbookViewId="0"/>
  </sheetViews>
  <sheetFormatPr defaultColWidth="11.42578125" defaultRowHeight="15" x14ac:dyDescent="0.25"/>
  <cols>
    <col min="1" max="4" width="25.7109375" style="1" customWidth="1"/>
    <col min="5" max="16384" width="11.42578125" style="1"/>
  </cols>
  <sheetData>
    <row r="1" spans="1:4" x14ac:dyDescent="0.25">
      <c r="A1" s="29"/>
      <c r="B1" s="30" t="s">
        <v>38</v>
      </c>
      <c r="C1" s="30" t="s">
        <v>12</v>
      </c>
      <c r="D1" s="31" t="s">
        <v>13</v>
      </c>
    </row>
    <row r="2" spans="1:4" x14ac:dyDescent="0.25">
      <c r="A2" s="32" t="s">
        <v>33</v>
      </c>
      <c r="B2" s="37"/>
      <c r="C2" s="95">
        <v>8000000</v>
      </c>
      <c r="D2" s="38"/>
    </row>
    <row r="3" spans="1:4" x14ac:dyDescent="0.25">
      <c r="A3" s="32" t="s">
        <v>34</v>
      </c>
      <c r="B3" s="37"/>
      <c r="C3" s="37"/>
      <c r="D3" s="96">
        <v>4000000</v>
      </c>
    </row>
    <row r="4" spans="1:4" x14ac:dyDescent="0.25">
      <c r="A4" s="32" t="s">
        <v>36</v>
      </c>
      <c r="B4" s="95">
        <v>1350000</v>
      </c>
      <c r="C4" s="95">
        <v>600000</v>
      </c>
      <c r="D4" s="96">
        <v>400000</v>
      </c>
    </row>
    <row r="5" spans="1:4" ht="15.75" thickBot="1" x14ac:dyDescent="0.3">
      <c r="A5" s="33" t="s">
        <v>37</v>
      </c>
      <c r="B5" s="97" t="s">
        <v>39</v>
      </c>
      <c r="C5" s="97" t="s">
        <v>33</v>
      </c>
      <c r="D5" s="98" t="s">
        <v>34</v>
      </c>
    </row>
    <row r="7" spans="1:4" x14ac:dyDescent="0.25">
      <c r="A7" s="1" t="s">
        <v>40</v>
      </c>
    </row>
    <row r="8" spans="1:4" x14ac:dyDescent="0.25">
      <c r="A8" s="1" t="s">
        <v>41</v>
      </c>
      <c r="B8" s="28">
        <f>+C4/C2</f>
        <v>7.4999999999999997E-2</v>
      </c>
    </row>
    <row r="9" spans="1:4" x14ac:dyDescent="0.25">
      <c r="A9" s="1" t="s">
        <v>42</v>
      </c>
      <c r="B9" s="28">
        <f>+D4/D3</f>
        <v>0.1</v>
      </c>
    </row>
    <row r="10" spans="1:4" x14ac:dyDescent="0.25">
      <c r="A10" s="1" t="s">
        <v>43</v>
      </c>
      <c r="B10" s="28">
        <f>B4/(C2*(1+B8)+D3*(1+B9))</f>
        <v>0.10384615384615385</v>
      </c>
    </row>
    <row r="12" spans="1:4" ht="15.75" thickBot="1" x14ac:dyDescent="0.3"/>
    <row r="13" spans="1:4" x14ac:dyDescent="0.25">
      <c r="A13" s="29"/>
      <c r="B13" s="30" t="s">
        <v>38</v>
      </c>
      <c r="C13" s="30" t="s">
        <v>12</v>
      </c>
      <c r="D13" s="31" t="s">
        <v>13</v>
      </c>
    </row>
    <row r="14" spans="1:4" x14ac:dyDescent="0.25">
      <c r="A14" s="32" t="s">
        <v>33</v>
      </c>
      <c r="B14" s="37"/>
      <c r="C14" s="37">
        <f>+C2</f>
        <v>8000000</v>
      </c>
      <c r="D14" s="38"/>
    </row>
    <row r="15" spans="1:4" x14ac:dyDescent="0.25">
      <c r="A15" s="32" t="s">
        <v>34</v>
      </c>
      <c r="B15" s="37"/>
      <c r="C15" s="37"/>
      <c r="D15" s="38">
        <f>+D3</f>
        <v>4000000</v>
      </c>
    </row>
    <row r="16" spans="1:4" x14ac:dyDescent="0.25">
      <c r="A16" s="32" t="s">
        <v>46</v>
      </c>
      <c r="B16" s="95">
        <v>950000</v>
      </c>
      <c r="C16" s="95">
        <v>1000000</v>
      </c>
      <c r="D16" s="96">
        <v>750000</v>
      </c>
    </row>
    <row r="17" spans="1:4" x14ac:dyDescent="0.25">
      <c r="A17" s="32" t="s">
        <v>36</v>
      </c>
      <c r="B17" s="37">
        <f>+B4</f>
        <v>1350000</v>
      </c>
      <c r="C17" s="37">
        <f>+C4</f>
        <v>600000</v>
      </c>
      <c r="D17" s="38">
        <f>+D4</f>
        <v>400000</v>
      </c>
    </row>
    <row r="18" spans="1:4" x14ac:dyDescent="0.25">
      <c r="A18" s="32" t="s">
        <v>35</v>
      </c>
      <c r="B18" s="37">
        <f>+B16+B17</f>
        <v>2300000</v>
      </c>
      <c r="C18" s="37">
        <f t="shared" ref="C18:D18" si="0">+C16+C17</f>
        <v>1600000</v>
      </c>
      <c r="D18" s="38">
        <f t="shared" si="0"/>
        <v>1150000</v>
      </c>
    </row>
    <row r="19" spans="1:4" ht="15.75" thickBot="1" x14ac:dyDescent="0.3">
      <c r="A19" s="33" t="s">
        <v>37</v>
      </c>
      <c r="B19" s="34" t="s">
        <v>44</v>
      </c>
      <c r="C19" s="34" t="s">
        <v>33</v>
      </c>
      <c r="D19" s="35" t="s">
        <v>34</v>
      </c>
    </row>
    <row r="21" spans="1:4" x14ac:dyDescent="0.25">
      <c r="A21" s="1" t="s">
        <v>45</v>
      </c>
    </row>
    <row r="22" spans="1:4" x14ac:dyDescent="0.25">
      <c r="A22" s="1" t="s">
        <v>41</v>
      </c>
      <c r="B22" s="28">
        <f>+C16/C14</f>
        <v>0.125</v>
      </c>
    </row>
    <row r="23" spans="1:4" x14ac:dyDescent="0.25">
      <c r="A23" s="1" t="s">
        <v>42</v>
      </c>
      <c r="B23" s="28">
        <f>+D16/D15</f>
        <v>0.1875</v>
      </c>
    </row>
    <row r="24" spans="1:4" x14ac:dyDescent="0.25">
      <c r="A24" s="1" t="s">
        <v>43</v>
      </c>
      <c r="B24" s="28">
        <f>B16/($C$14*(1+$B$8+$B$22)+$D$15*(1+$B$9+$B$23))</f>
        <v>6.4406779661016947E-2</v>
      </c>
    </row>
    <row r="25" spans="1:4" x14ac:dyDescent="0.25">
      <c r="A25" s="19" t="s">
        <v>48</v>
      </c>
      <c r="B25" s="36">
        <f>B17/($C$14*(1+$B$8+$B$22)+$D$15*(1+$B$9+$B$23))</f>
        <v>9.152542372881356E-2</v>
      </c>
    </row>
    <row r="26" spans="1:4" x14ac:dyDescent="0.25">
      <c r="A26" s="19"/>
    </row>
    <row r="27" spans="1:4" x14ac:dyDescent="0.25">
      <c r="A27" s="1" t="s">
        <v>47</v>
      </c>
    </row>
    <row r="28" spans="1:4" x14ac:dyDescent="0.25">
      <c r="A28" s="1" t="s">
        <v>41</v>
      </c>
      <c r="B28" s="28">
        <f>+C18/C14</f>
        <v>0.2</v>
      </c>
      <c r="C28" s="19" t="s">
        <v>49</v>
      </c>
    </row>
    <row r="29" spans="1:4" x14ac:dyDescent="0.25">
      <c r="A29" s="1" t="s">
        <v>42</v>
      </c>
      <c r="B29" s="28">
        <f>+D18/D15</f>
        <v>0.28749999999999998</v>
      </c>
      <c r="C29" s="19" t="s">
        <v>49</v>
      </c>
    </row>
    <row r="30" spans="1:4" x14ac:dyDescent="0.25">
      <c r="A30" s="1" t="s">
        <v>43</v>
      </c>
      <c r="B30" s="28">
        <f>B18/(C14*(1+B28)+D15*(1+B29))</f>
        <v>0.15593220338983052</v>
      </c>
      <c r="C30" s="19" t="s">
        <v>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Innhold</vt:lpstr>
      <vt:lpstr>Ressursgrupper til avdelinger</vt:lpstr>
      <vt:lpstr>Direkte fordeling</vt:lpstr>
      <vt:lpstr>Trinnvis fordeling</vt:lpstr>
      <vt:lpstr>Gjensidig fordeling</vt:lpstr>
      <vt:lpstr>Divisjonskalkulasjon</vt:lpstr>
      <vt:lpstr>Ekvivalenskalkulasjon</vt:lpstr>
      <vt:lpstr>Tilleggskalkulasjon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Berg</dc:creator>
  <cp:lastModifiedBy>Terje Berg</cp:lastModifiedBy>
  <dcterms:created xsi:type="dcterms:W3CDTF">2017-04-14T11:45:44Z</dcterms:created>
  <dcterms:modified xsi:type="dcterms:W3CDTF">2021-05-05T06:25:25Z</dcterms:modified>
</cp:coreProperties>
</file>